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15600" windowHeight="7815" activeTab="1"/>
  </bookViews>
  <sheets>
    <sheet name="เกณฑ์ FTE" sheetId="1" r:id="rId1"/>
    <sheet name="ภาพรวม" sheetId="3" r:id="rId2"/>
    <sheet name="รวม" sheetId="2" r:id="rId3"/>
    <sheet name="Sheet2" sheetId="5" r:id="rId4"/>
  </sheets>
  <externalReferences>
    <externalReference r:id="rId5"/>
  </externalReferences>
  <calcPr calcId="144525"/>
</workbook>
</file>

<file path=xl/calcChain.xml><?xml version="1.0" encoding="utf-8"?>
<calcChain xmlns="http://schemas.openxmlformats.org/spreadsheetml/2006/main">
  <c r="D12" i="2" l="1"/>
  <c r="B11" i="2" l="1"/>
  <c r="B9" i="2"/>
  <c r="B8" i="2"/>
  <c r="B7" i="2"/>
  <c r="B6" i="2"/>
  <c r="B5" i="2"/>
  <c r="B4" i="2"/>
  <c r="B3" i="2"/>
  <c r="B10" i="2" l="1"/>
  <c r="B12" i="2" s="1"/>
  <c r="E12" i="3" l="1"/>
  <c r="G12" i="3"/>
  <c r="I12" i="3"/>
  <c r="K12" i="3"/>
  <c r="M12" i="3"/>
  <c r="S12" i="3"/>
  <c r="Q12" i="3"/>
  <c r="O12" i="3"/>
  <c r="C12" i="3"/>
  <c r="S10" i="3"/>
  <c r="Q10" i="3"/>
  <c r="O10" i="3"/>
  <c r="M10" i="3"/>
  <c r="K10" i="3"/>
  <c r="I10" i="3"/>
  <c r="G10" i="3"/>
  <c r="E10" i="3"/>
  <c r="C10" i="3"/>
  <c r="B6" i="5" l="1"/>
  <c r="C6" i="5"/>
  <c r="E4" i="5"/>
  <c r="D3" i="5"/>
  <c r="E3" i="5" s="1"/>
  <c r="D4" i="5"/>
  <c r="D5" i="5"/>
  <c r="E5" i="5" s="1"/>
  <c r="D2" i="5"/>
  <c r="E2" i="5" s="1"/>
  <c r="E11" i="2"/>
  <c r="E10" i="2"/>
  <c r="E9" i="2"/>
  <c r="E8" i="2"/>
  <c r="E7" i="2"/>
  <c r="E5" i="2"/>
  <c r="E6" i="2"/>
  <c r="E4" i="2"/>
  <c r="E3" i="2"/>
  <c r="D6" i="5" l="1"/>
  <c r="E12" i="2"/>
  <c r="E6" i="5"/>
  <c r="H13" i="3"/>
  <c r="F13" i="3"/>
  <c r="H6" i="3" l="1"/>
  <c r="AC14" i="3"/>
  <c r="D11" i="3"/>
  <c r="D8" i="3"/>
  <c r="D7" i="3"/>
  <c r="D6" i="3"/>
  <c r="D5" i="3"/>
  <c r="D4" i="3"/>
  <c r="D13" i="3"/>
  <c r="D10" i="3"/>
  <c r="AB13" i="3"/>
  <c r="AB12" i="3"/>
  <c r="AB11" i="3"/>
  <c r="AB10" i="3"/>
  <c r="Z13" i="3"/>
  <c r="Z12" i="3"/>
  <c r="Z11" i="3"/>
  <c r="Z10" i="3"/>
  <c r="X13" i="3"/>
  <c r="X12" i="3"/>
  <c r="X11" i="3"/>
  <c r="X10" i="3"/>
  <c r="V13" i="3"/>
  <c r="V12" i="3"/>
  <c r="V11" i="3"/>
  <c r="V10" i="3"/>
  <c r="T13" i="3"/>
  <c r="T12" i="3"/>
  <c r="T11" i="3"/>
  <c r="T10" i="3"/>
  <c r="R13" i="3"/>
  <c r="R12" i="3"/>
  <c r="R11" i="3"/>
  <c r="R10" i="3"/>
  <c r="P13" i="3"/>
  <c r="P12" i="3"/>
  <c r="P11" i="3"/>
  <c r="P10" i="3"/>
  <c r="N13" i="3"/>
  <c r="N12" i="3"/>
  <c r="N11" i="3"/>
  <c r="N10" i="3"/>
  <c r="L13" i="3"/>
  <c r="L12" i="3"/>
  <c r="L11" i="3"/>
  <c r="L10" i="3"/>
  <c r="J13" i="3"/>
  <c r="J12" i="3"/>
  <c r="J11" i="3"/>
  <c r="J10" i="3"/>
  <c r="H12" i="3"/>
  <c r="H11" i="3"/>
  <c r="H10" i="3"/>
  <c r="F12" i="3"/>
  <c r="F11" i="3"/>
  <c r="D12" i="3"/>
  <c r="AC12" i="3"/>
  <c r="AC13" i="3"/>
  <c r="AE14" i="3"/>
  <c r="N7" i="3"/>
  <c r="N5" i="3"/>
  <c r="N4" i="3"/>
  <c r="N8" i="3"/>
  <c r="N6" i="3"/>
  <c r="L8" i="3"/>
  <c r="J8" i="3"/>
  <c r="H4" i="3"/>
  <c r="H5" i="3"/>
  <c r="H7" i="3"/>
  <c r="H8" i="3"/>
  <c r="F8" i="3"/>
  <c r="AB8" i="3"/>
  <c r="Z8" i="3"/>
  <c r="X8" i="3"/>
  <c r="V8" i="3"/>
  <c r="T8" i="3"/>
  <c r="R8" i="3"/>
  <c r="P8" i="3"/>
  <c r="AD13" i="3" l="1"/>
  <c r="AE13" i="3" s="1"/>
  <c r="C11" i="2" s="1"/>
  <c r="F11" i="2" s="1"/>
  <c r="AE12" i="3"/>
  <c r="C10" i="2" s="1"/>
  <c r="AD12" i="3"/>
  <c r="D15" i="3"/>
  <c r="D9" i="3"/>
  <c r="F10" i="3"/>
  <c r="F14" i="3"/>
  <c r="F7" i="3"/>
  <c r="AC11" i="3"/>
  <c r="F6" i="3"/>
  <c r="F5" i="3"/>
  <c r="AB7" i="3"/>
  <c r="AB6" i="3"/>
  <c r="AB5" i="3"/>
  <c r="AB4" i="3"/>
  <c r="Z4" i="3"/>
  <c r="Z5" i="3"/>
  <c r="Z6" i="3"/>
  <c r="Z7" i="3"/>
  <c r="X7" i="3"/>
  <c r="X6" i="3"/>
  <c r="X5" i="3"/>
  <c r="X4" i="3"/>
  <c r="V4" i="3"/>
  <c r="V5" i="3"/>
  <c r="V6" i="3"/>
  <c r="V7" i="3"/>
  <c r="T7" i="3"/>
  <c r="T6" i="3"/>
  <c r="T5" i="3"/>
  <c r="T4" i="3"/>
  <c r="R4" i="3"/>
  <c r="R5" i="3"/>
  <c r="R6" i="3"/>
  <c r="R7" i="3"/>
  <c r="P4" i="3"/>
  <c r="P5" i="3"/>
  <c r="P6" i="3"/>
  <c r="P7" i="3"/>
  <c r="L4" i="3"/>
  <c r="L5" i="3"/>
  <c r="L6" i="3"/>
  <c r="L7" i="3"/>
  <c r="J7" i="3"/>
  <c r="J6" i="3"/>
  <c r="J5" i="3"/>
  <c r="J4" i="3"/>
  <c r="F4" i="3"/>
  <c r="AC8" i="3"/>
  <c r="AC10" i="3"/>
  <c r="AC5" i="3"/>
  <c r="AC6" i="3"/>
  <c r="AC7" i="3"/>
  <c r="AC4" i="3"/>
  <c r="AE7" i="3" l="1"/>
  <c r="C6" i="2" s="1"/>
  <c r="F5" i="5" s="1"/>
  <c r="AD7" i="3"/>
  <c r="AE8" i="3"/>
  <c r="AD8" i="3"/>
  <c r="AE11" i="3"/>
  <c r="C9" i="2" s="1"/>
  <c r="AD11" i="3"/>
  <c r="AE5" i="3"/>
  <c r="C4" i="2" s="1"/>
  <c r="F3" i="5" s="1"/>
  <c r="AD5" i="3"/>
  <c r="AE6" i="3"/>
  <c r="C5" i="2" s="1"/>
  <c r="F4" i="5" s="1"/>
  <c r="AD6" i="3"/>
  <c r="AE4" i="3"/>
  <c r="C3" i="2" s="1"/>
  <c r="F3" i="2" s="1"/>
  <c r="AD4" i="3"/>
  <c r="AE10" i="3"/>
  <c r="AD10" i="3"/>
  <c r="F10" i="2"/>
  <c r="D16" i="3"/>
  <c r="F5" i="2"/>
  <c r="F4" i="2"/>
  <c r="F9" i="2" l="1"/>
  <c r="C8" i="2"/>
  <c r="F8" i="2" s="1"/>
  <c r="H4" i="5"/>
  <c r="G4" i="5"/>
  <c r="H5" i="5"/>
  <c r="G5" i="5"/>
  <c r="F2" i="5"/>
  <c r="H3" i="5"/>
  <c r="G3" i="5"/>
  <c r="C7" i="2"/>
  <c r="F7" i="2" s="1"/>
  <c r="F12" i="2" s="1"/>
  <c r="F6" i="2"/>
  <c r="C12" i="2" l="1"/>
  <c r="H2" i="5"/>
  <c r="F6" i="5"/>
  <c r="H6" i="5" s="1"/>
  <c r="G2" i="5"/>
  <c r="G6" i="5" s="1"/>
</calcChain>
</file>

<file path=xl/sharedStrings.xml><?xml version="1.0" encoding="utf-8"?>
<sst xmlns="http://schemas.openxmlformats.org/spreadsheetml/2006/main" count="97" uniqueCount="50">
  <si>
    <t>หน่วยงาน</t>
  </si>
  <si>
    <t>ตึก๑</t>
  </si>
  <si>
    <t>ตึก๒</t>
  </si>
  <si>
    <t>ตึก๔</t>
  </si>
  <si>
    <t>ตึก๕</t>
  </si>
  <si>
    <t>รวม</t>
  </si>
  <si>
    <t>FTE ควรมี</t>
  </si>
  <si>
    <t>ขาด</t>
  </si>
  <si>
    <t>เกิน</t>
  </si>
  <si>
    <t>ตุลาคม</t>
  </si>
  <si>
    <t>พฤศจิกายน</t>
  </si>
  <si>
    <t>ธันวาคม</t>
  </si>
  <si>
    <t>มกาคม</t>
  </si>
  <si>
    <t>กุมภาพันธ์</t>
  </si>
  <si>
    <t>เดือน</t>
  </si>
  <si>
    <t>จำนวนวันนอน ทั้งเดือน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</si>
  <si>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</si>
  <si>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</si>
  <si>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</si>
  <si>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</si>
  <si>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</si>
  <si>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</si>
  <si>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</si>
  <si>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รวมทั้งปี</t>
  </si>
  <si>
    <t>จำนวนวันนอน ทั้งปี</t>
  </si>
  <si>
    <t>ICU</t>
  </si>
  <si>
    <t>LR</t>
  </si>
  <si>
    <t>ER</t>
  </si>
  <si>
    <t>OR</t>
  </si>
  <si>
    <t>จำนวนคนที่จะมีตาม FTE ต่อวัน</t>
  </si>
  <si>
    <t>เกณฑ์ ชม</t>
  </si>
  <si>
    <t>OPD</t>
  </si>
  <si>
    <t>Anesth</t>
  </si>
  <si>
    <t>เกณฑ์ให้</t>
  </si>
  <si>
    <t>ปี ๒๕๕๘</t>
  </si>
  <si>
    <t>เฉลี่ยต่อเดือน</t>
  </si>
  <si>
    <t>มีจริง</t>
  </si>
  <si>
    <t>ขาด/เกิน</t>
  </si>
  <si>
    <t>จำนวนคนที่จะมีตาม FTE</t>
  </si>
  <si>
    <t>ตาม  FTE</t>
  </si>
  <si>
    <t>ตาม Productivity</t>
  </si>
  <si>
    <t>จำนวนพยาบาลที่มี</t>
  </si>
  <si>
    <t>OT ต่อเดือน</t>
  </si>
  <si>
    <t>จำนวนพยาบาล ที่จัดOT ต่อวัน (คน)</t>
  </si>
  <si>
    <t>หากไม่มี OT ต้องมีพยาบาล</t>
  </si>
  <si>
    <t>จำนวนคนที่ควรมีตาม Productivity</t>
  </si>
  <si>
    <t>หมายเหตุ</t>
  </si>
  <si>
    <t>สรุป</t>
  </si>
  <si>
    <t>ส่วนต่างจำนวนปัจจุบันกับภาระงาน(FTE)</t>
  </si>
  <si>
    <t>ส่วนต่างจำนวนปัจจุบันกับการจัดเวร(OT)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</si>
</sst>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AngsanaUPC"/>
      <family val="1"/>
    </font>
    <font>
      <sz val="20"/>
      <color theme="1"/>
      <name val="AngsanaUPC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2" fontId="0" fillId="2" borderId="1" xfId="0" applyNumberFormat="1" applyFill="1" applyBorder="1"/>
    <xf numFmtId="0" fontId="1" fillId="0" borderId="1" xfId="0" applyFont="1" applyFill="1" applyBorder="1"/>
    <xf numFmtId="2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4" borderId="1" xfId="0" applyFill="1" applyBorder="1" applyAlignment="1">
      <alignment vertical="top" wrapText="1"/>
    </xf>
    <xf numFmtId="2" fontId="0" fillId="4" borderId="1" xfId="0" applyNumberFormat="1" applyFill="1" applyBorder="1"/>
    <xf numFmtId="0" fontId="1" fillId="0" borderId="2" xfId="0" applyFont="1" applyFill="1" applyBorder="1"/>
    <xf numFmtId="2" fontId="0" fillId="5" borderId="1" xfId="0" applyNumberFormat="1" applyFill="1" applyBorder="1"/>
    <xf numFmtId="0" fontId="1" fillId="6" borderId="5" xfId="0" applyFont="1" applyFill="1" applyBorder="1" applyAlignment="1"/>
    <xf numFmtId="0" fontId="1" fillId="6" borderId="6" xfId="0" applyFont="1" applyFill="1" applyBorder="1" applyAlignment="1"/>
    <xf numFmtId="0" fontId="1" fillId="6" borderId="7" xfId="0" applyFont="1" applyFill="1" applyBorder="1" applyAlignment="1"/>
    <xf numFmtId="2" fontId="0" fillId="7" borderId="1" xfId="0" applyNumberFormat="1" applyFill="1" applyBorder="1"/>
    <xf numFmtId="2" fontId="0" fillId="8" borderId="1" xfId="0" applyNumberFormat="1" applyFill="1" applyBorder="1"/>
    <xf numFmtId="0" fontId="0" fillId="0" borderId="1" xfId="0" applyBorder="1" applyAlignment="1">
      <alignment horizontal="center" vertical="top" wrapText="1"/>
    </xf>
    <xf numFmtId="187" fontId="1" fillId="0" borderId="1" xfId="1" applyNumberFormat="1" applyFont="1" applyFill="1" applyBorder="1"/>
    <xf numFmtId="187" fontId="1" fillId="0" borderId="1" xfId="1" applyNumberFormat="1" applyFont="1" applyBorder="1"/>
    <xf numFmtId="187" fontId="1" fillId="6" borderId="6" xfId="1" applyNumberFormat="1" applyFont="1" applyFill="1" applyBorder="1" applyAlignment="1"/>
    <xf numFmtId="187" fontId="1" fillId="0" borderId="2" xfId="1" applyNumberFormat="1" applyFont="1" applyFill="1" applyBorder="1"/>
    <xf numFmtId="0" fontId="0" fillId="2" borderId="1" xfId="0" applyFill="1" applyBorder="1" applyAlignment="1">
      <alignment horizontal="center"/>
    </xf>
    <xf numFmtId="9" fontId="0" fillId="2" borderId="1" xfId="0" applyNumberFormat="1" applyFill="1" applyBorder="1" applyAlignment="1">
      <alignment horizontal="center" vertical="top" wrapText="1"/>
    </xf>
    <xf numFmtId="2" fontId="0" fillId="2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1" fillId="6" borderId="6" xfId="0" applyNumberFormat="1" applyFont="1" applyFill="1" applyBorder="1" applyAlignment="1"/>
    <xf numFmtId="1" fontId="0" fillId="0" borderId="0" xfId="0" applyNumberFormat="1"/>
    <xf numFmtId="187" fontId="0" fillId="0" borderId="1" xfId="1" applyNumberFormat="1" applyFont="1" applyBorder="1" applyAlignment="1">
      <alignment vertical="top" wrapText="1"/>
    </xf>
    <xf numFmtId="187" fontId="0" fillId="0" borderId="1" xfId="1" applyNumberFormat="1" applyFont="1" applyBorder="1"/>
    <xf numFmtId="187" fontId="0" fillId="0" borderId="0" xfId="1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center" vertical="top" wrapText="1"/>
    </xf>
    <xf numFmtId="43" fontId="0" fillId="0" borderId="1" xfId="1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43" fontId="0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 wrapText="1"/>
    </xf>
    <xf numFmtId="43" fontId="0" fillId="0" borderId="1" xfId="0" applyNumberForma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43" fontId="4" fillId="0" borderId="1" xfId="1" applyFont="1" applyBorder="1" applyAlignment="1">
      <alignment horizontal="right"/>
    </xf>
    <xf numFmtId="43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2" fontId="5" fillId="0" borderId="0" xfId="0" applyNumberFormat="1" applyFont="1" applyBorder="1"/>
    <xf numFmtId="0" fontId="5" fillId="0" borderId="0" xfId="0" applyFont="1" applyAlignment="1">
      <alignment horizontal="center"/>
    </xf>
    <xf numFmtId="2" fontId="5" fillId="0" borderId="0" xfId="0" applyNumberFormat="1" applyFont="1"/>
    <xf numFmtId="0" fontId="5" fillId="0" borderId="0" xfId="0" applyFont="1" applyFill="1" applyBorder="1"/>
    <xf numFmtId="2" fontId="4" fillId="0" borderId="1" xfId="0" applyNumberFormat="1" applyFont="1" applyFill="1" applyBorder="1" applyAlignment="1">
      <alignment horizontal="center"/>
    </xf>
    <xf numFmtId="43" fontId="4" fillId="7" borderId="1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99"/>
      <color rgb="FF8BE1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647700</xdr:colOff>
      <xdr:row>25</xdr:row>
      <xdr:rowOff>76199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134100" cy="460057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619124</xdr:colOff>
      <xdr:row>0</xdr:row>
      <xdr:rowOff>0</xdr:rowOff>
    </xdr:from>
    <xdr:to>
      <xdr:col>17</xdr:col>
      <xdr:colOff>593723</xdr:colOff>
      <xdr:row>25</xdr:row>
      <xdr:rowOff>85725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4" y="0"/>
          <a:ext cx="6146799" cy="461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4;&#3633;&#3618;&#3610;&#3634;&#3604;&#3634;&#3621;/Productivity/2559/Productivity%20&#3619;&#3623;&#36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กณฑ์"/>
      <sheetName val="ต.ค."/>
      <sheetName val="พ.ย."/>
      <sheetName val="ธ.ค."/>
      <sheetName val="ม.ค."/>
      <sheetName val="ก.พ."/>
      <sheetName val="มี.ค."/>
      <sheetName val="รวม6เดือน"/>
      <sheetName val="เม.ย."/>
      <sheetName val="พ.ค."/>
      <sheetName val="มิ.ย."/>
      <sheetName val="ก.ค."/>
      <sheetName val="ส.ค."/>
      <sheetName val="ก.ย."/>
      <sheetName val="รวมงวด2"/>
      <sheetName val="รวมทั้งป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E3">
            <v>1.4991397810890617</v>
          </cell>
        </row>
        <row r="4">
          <cell r="E4">
            <v>1.5704076690771851</v>
          </cell>
        </row>
        <row r="5">
          <cell r="E5">
            <v>1.0288511461579064</v>
          </cell>
        </row>
        <row r="6">
          <cell r="E6">
            <v>1.1959106654336966</v>
          </cell>
        </row>
        <row r="7">
          <cell r="E7">
            <v>1.1858417813270055</v>
          </cell>
        </row>
        <row r="8">
          <cell r="E8">
            <v>0.74849298680416521</v>
          </cell>
        </row>
        <row r="9">
          <cell r="E9">
            <v>1.1392088677875127</v>
          </cell>
        </row>
        <row r="10">
          <cell r="E10">
            <v>0.52851972810393921</v>
          </cell>
        </row>
        <row r="11">
          <cell r="E11">
            <v>0.3761720652001232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N27" sqref="N27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6"/>
  <sheetViews>
    <sheetView tabSelected="1" workbookViewId="0">
      <pane xSplit="1" ySplit="3" topLeftCell="O4" activePane="bottomRight" state="frozen"/>
      <selection pane="topRight" activeCell="B1" sqref="B1"/>
      <selection pane="bottomLeft" activeCell="A4" sqref="A4"/>
      <selection pane="bottomRight" activeCell="Q18" sqref="Q18"/>
    </sheetView>
  </sheetViews>
  <sheetFormatPr defaultRowHeight="14.25" x14ac:dyDescent="0.2"/>
  <cols>
    <col min="1" max="2" width="8.375" customWidth="1"/>
    <col min="3" max="3" width="12.625" customWidth="1"/>
    <col min="4" max="4" width="12.25" customWidth="1"/>
    <col min="5" max="5" width="8.75" style="38" customWidth="1"/>
    <col min="6" max="6" width="10.375" customWidth="1"/>
    <col min="7" max="7" width="8.125" customWidth="1"/>
    <col min="8" max="8" width="12.5" bestFit="1" customWidth="1"/>
    <col min="9" max="9" width="8" customWidth="1"/>
    <col min="10" max="10" width="10.75" customWidth="1"/>
    <col min="11" max="11" width="11.75" customWidth="1"/>
    <col min="12" max="12" width="12.5" bestFit="1" customWidth="1"/>
    <col min="13" max="13" width="13.125" customWidth="1"/>
    <col min="14" max="14" width="14.125" customWidth="1"/>
  </cols>
  <sheetData>
    <row r="2" spans="1:31" x14ac:dyDescent="0.2">
      <c r="A2" s="75" t="s">
        <v>14</v>
      </c>
      <c r="B2" s="76" t="s">
        <v>30</v>
      </c>
      <c r="C2" s="78" t="s">
        <v>34</v>
      </c>
      <c r="D2" s="78"/>
      <c r="E2" s="78" t="s">
        <v>9</v>
      </c>
      <c r="F2" s="78"/>
      <c r="G2" s="78" t="s">
        <v>10</v>
      </c>
      <c r="H2" s="78"/>
      <c r="I2" s="78" t="s">
        <v>11</v>
      </c>
      <c r="J2" s="78"/>
      <c r="K2" s="78" t="s">
        <v>12</v>
      </c>
      <c r="L2" s="78"/>
      <c r="M2" s="78" t="s">
        <v>13</v>
      </c>
      <c r="N2" s="78"/>
      <c r="O2" s="78" t="s">
        <v>16</v>
      </c>
      <c r="P2" s="78"/>
      <c r="Q2" s="78" t="s">
        <v>17</v>
      </c>
      <c r="R2" s="78"/>
      <c r="S2" s="78" t="s">
        <v>18</v>
      </c>
      <c r="T2" s="78"/>
      <c r="U2" s="78" t="s">
        <v>19</v>
      </c>
      <c r="V2" s="78"/>
      <c r="W2" s="78" t="s">
        <v>20</v>
      </c>
      <c r="X2" s="78"/>
      <c r="Y2" s="78" t="s">
        <v>21</v>
      </c>
      <c r="Z2" s="78"/>
      <c r="AA2" s="78" t="s">
        <v>22</v>
      </c>
      <c r="AB2" s="78"/>
      <c r="AC2" s="78" t="s">
        <v>23</v>
      </c>
      <c r="AD2" s="78"/>
      <c r="AE2" s="25" t="s">
        <v>33</v>
      </c>
    </row>
    <row r="3" spans="1:31" s="10" customFormat="1" ht="57" x14ac:dyDescent="0.2">
      <c r="A3" s="75"/>
      <c r="B3" s="77"/>
      <c r="C3" s="20" t="s">
        <v>24</v>
      </c>
      <c r="D3" s="11" t="s">
        <v>29</v>
      </c>
      <c r="E3" s="36" t="s">
        <v>15</v>
      </c>
      <c r="F3" s="11" t="s">
        <v>29</v>
      </c>
      <c r="G3" s="9" t="s">
        <v>15</v>
      </c>
      <c r="H3" s="11" t="s">
        <v>29</v>
      </c>
      <c r="I3" s="9" t="s">
        <v>15</v>
      </c>
      <c r="J3" s="11" t="s">
        <v>29</v>
      </c>
      <c r="K3" s="9" t="s">
        <v>15</v>
      </c>
      <c r="L3" s="11" t="s">
        <v>29</v>
      </c>
      <c r="M3" s="9" t="s">
        <v>15</v>
      </c>
      <c r="N3" s="11" t="s">
        <v>29</v>
      </c>
      <c r="O3" s="9" t="s">
        <v>15</v>
      </c>
      <c r="P3" s="11" t="s">
        <v>29</v>
      </c>
      <c r="Q3" s="9" t="s">
        <v>15</v>
      </c>
      <c r="R3" s="11" t="s">
        <v>29</v>
      </c>
      <c r="S3" s="9" t="s">
        <v>15</v>
      </c>
      <c r="T3" s="11" t="s">
        <v>29</v>
      </c>
      <c r="U3" s="9" t="s">
        <v>15</v>
      </c>
      <c r="V3" s="11" t="s">
        <v>29</v>
      </c>
      <c r="W3" s="9" t="s">
        <v>15</v>
      </c>
      <c r="X3" s="11" t="s">
        <v>29</v>
      </c>
      <c r="Y3" s="9" t="s">
        <v>15</v>
      </c>
      <c r="Z3" s="11" t="s">
        <v>29</v>
      </c>
      <c r="AA3" s="9" t="s">
        <v>15</v>
      </c>
      <c r="AB3" s="11" t="s">
        <v>29</v>
      </c>
      <c r="AC3" s="9" t="s">
        <v>24</v>
      </c>
      <c r="AD3" s="11" t="s">
        <v>29</v>
      </c>
      <c r="AE3" s="26">
        <v>0.8</v>
      </c>
    </row>
    <row r="4" spans="1:31" ht="18" x14ac:dyDescent="0.25">
      <c r="A4" s="5" t="s">
        <v>1</v>
      </c>
      <c r="B4" s="5">
        <v>280</v>
      </c>
      <c r="C4" s="21">
        <v>13522</v>
      </c>
      <c r="D4" s="29">
        <f>((C4*$B4/60)/(7))/365</f>
        <v>24.697716894977166</v>
      </c>
      <c r="E4" s="37">
        <v>1243</v>
      </c>
      <c r="F4" s="4">
        <f>((E4*210/60)/(8))/31</f>
        <v>17.54233870967742</v>
      </c>
      <c r="G4" s="1">
        <v>1215</v>
      </c>
      <c r="H4" s="12">
        <f>((G4*210/60)/(8))/30</f>
        <v>17.71875</v>
      </c>
      <c r="I4" s="1">
        <v>1137</v>
      </c>
      <c r="J4" s="12">
        <f>((I4*210/60)/(8))/31</f>
        <v>16.046370967741936</v>
      </c>
      <c r="K4" s="1">
        <v>1097</v>
      </c>
      <c r="L4" s="12">
        <f>((K4*210/60)/(8))/31</f>
        <v>15.481854838709678</v>
      </c>
      <c r="M4" s="1">
        <v>855</v>
      </c>
      <c r="N4" s="12">
        <f>((M4*210/60)/(8))/28</f>
        <v>13.359375</v>
      </c>
      <c r="O4" s="1">
        <v>1125</v>
      </c>
      <c r="P4" s="12">
        <f>((O4*210/60)/(8))/31</f>
        <v>15.877016129032258</v>
      </c>
      <c r="Q4" s="1">
        <v>948</v>
      </c>
      <c r="R4" s="12">
        <f>((Q4*210/60)/(8))/31</f>
        <v>13.379032258064516</v>
      </c>
      <c r="S4" s="1">
        <v>982</v>
      </c>
      <c r="T4" s="12">
        <f>((S4*210/60)/(8))/31</f>
        <v>13.858870967741936</v>
      </c>
      <c r="U4" s="1"/>
      <c r="V4" s="12">
        <f>((U4*210/60)/(8))/31</f>
        <v>0</v>
      </c>
      <c r="W4" s="1"/>
      <c r="X4" s="12">
        <f>((W4*210/60)/(8))/31</f>
        <v>0</v>
      </c>
      <c r="Y4" s="1"/>
      <c r="Z4" s="12">
        <f>((Y4*210/60)/(8))/31</f>
        <v>0</v>
      </c>
      <c r="AA4" s="1"/>
      <c r="AB4" s="12">
        <f>((AA4*210/60)/(8))/31</f>
        <v>0</v>
      </c>
      <c r="AC4" s="1">
        <f>E4+G4+I4+K4+M4+O4+Q4+S4+U4+W4+Y4+AA4</f>
        <v>8602</v>
      </c>
      <c r="AD4" s="12">
        <f>((AC4*210/60)/(8))/(7*30)</f>
        <v>17.920833333333334</v>
      </c>
      <c r="AE4" s="27">
        <f>AD4*0.8</f>
        <v>14.336666666666668</v>
      </c>
    </row>
    <row r="5" spans="1:31" ht="18" x14ac:dyDescent="0.25">
      <c r="A5" s="3" t="s">
        <v>2</v>
      </c>
      <c r="B5" s="3">
        <v>280</v>
      </c>
      <c r="C5" s="22">
        <v>13950</v>
      </c>
      <c r="D5" s="30">
        <f>((C5*$B$5/60)/(8))/365</f>
        <v>22.294520547945204</v>
      </c>
      <c r="E5" s="37">
        <v>1009</v>
      </c>
      <c r="F5" s="18">
        <f>((E5*210/60)/(8))/31</f>
        <v>14.23991935483871</v>
      </c>
      <c r="G5" s="1">
        <v>1436</v>
      </c>
      <c r="H5" s="12">
        <f>((G5*210/60)/(8))/30</f>
        <v>20.941666666666666</v>
      </c>
      <c r="I5" s="1">
        <v>1319</v>
      </c>
      <c r="J5" s="12">
        <f>((I5*210/60)/(8))/31</f>
        <v>18.614919354838708</v>
      </c>
      <c r="K5" s="1">
        <v>1191</v>
      </c>
      <c r="L5" s="12">
        <f>((K5*210/60)/(8))/31</f>
        <v>16.808467741935484</v>
      </c>
      <c r="M5" s="1">
        <v>960</v>
      </c>
      <c r="N5" s="12">
        <f>((M5*210/60)/(8))/28</f>
        <v>15</v>
      </c>
      <c r="O5" s="1">
        <v>1038</v>
      </c>
      <c r="P5" s="12">
        <f>((O5*210/60)/(8))/31</f>
        <v>14.649193548387096</v>
      </c>
      <c r="Q5" s="1">
        <v>1206</v>
      </c>
      <c r="R5" s="12">
        <f>((Q5*210/60)/(8))/31</f>
        <v>17.02016129032258</v>
      </c>
      <c r="S5" s="1">
        <v>1094</v>
      </c>
      <c r="T5" s="12">
        <f>((S5*210/60)/(8))/31</f>
        <v>15.439516129032258</v>
      </c>
      <c r="U5" s="1"/>
      <c r="V5" s="12">
        <f>((U5*210/60)/(8))/31</f>
        <v>0</v>
      </c>
      <c r="W5" s="1"/>
      <c r="X5" s="12">
        <f>((W5*210/60)/(8))/31</f>
        <v>0</v>
      </c>
      <c r="Y5" s="1"/>
      <c r="Z5" s="12">
        <f>((Y5*210/60)/(8))/31</f>
        <v>0</v>
      </c>
      <c r="AA5" s="1"/>
      <c r="AB5" s="12">
        <f>((AA5*210/60)/(8))/31</f>
        <v>0</v>
      </c>
      <c r="AC5" s="1">
        <f t="shared" ref="AC5:AC14" si="0">E5+G5+I5+K5+M5+O5+Q5+S5+U5+W5+Y5+AA5</f>
        <v>9253</v>
      </c>
      <c r="AD5" s="12">
        <f t="shared" ref="AD5:AD7" si="1">((AC5*210/60)/(8))/(7*30)</f>
        <v>19.277083333333334</v>
      </c>
      <c r="AE5" s="27">
        <f t="shared" ref="AE5:AE14" si="2">AD5*0.8</f>
        <v>15.421666666666667</v>
      </c>
    </row>
    <row r="6" spans="1:31" ht="18" x14ac:dyDescent="0.25">
      <c r="A6" s="3" t="s">
        <v>3</v>
      </c>
      <c r="B6" s="3">
        <v>280</v>
      </c>
      <c r="C6" s="22">
        <v>5468</v>
      </c>
      <c r="D6" s="31">
        <f>((C6*$B$6/60)/(7))/365</f>
        <v>9.9872146118721457</v>
      </c>
      <c r="E6" s="37">
        <v>528</v>
      </c>
      <c r="F6" s="12">
        <f>((E6*210/60)/(8))/31</f>
        <v>7.4516129032258061</v>
      </c>
      <c r="G6" s="1">
        <v>440</v>
      </c>
      <c r="H6" s="12">
        <f>((G6*210/60)/(8))/30</f>
        <v>6.416666666666667</v>
      </c>
      <c r="I6" s="1">
        <v>472</v>
      </c>
      <c r="J6" s="12">
        <f>((I6*210/60)/(8))/31</f>
        <v>6.661290322580645</v>
      </c>
      <c r="K6" s="1">
        <v>469</v>
      </c>
      <c r="L6" s="12">
        <f>((K6*210/60)/(8))/31</f>
        <v>6.618951612903226</v>
      </c>
      <c r="M6" s="1">
        <v>333</v>
      </c>
      <c r="N6" s="12">
        <f>((M6*210/60)/(8))/28</f>
        <v>5.203125</v>
      </c>
      <c r="O6" s="1">
        <v>393</v>
      </c>
      <c r="P6" s="12">
        <f>((O6*210/60)/(8))/31</f>
        <v>5.5463709677419351</v>
      </c>
      <c r="Q6" s="1">
        <v>423</v>
      </c>
      <c r="R6" s="12">
        <f>((Q6*210/60)/(8))/31</f>
        <v>5.969758064516129</v>
      </c>
      <c r="S6" s="1">
        <v>348</v>
      </c>
      <c r="T6" s="12">
        <f>((S6*210/60)/(8))/31</f>
        <v>4.911290322580645</v>
      </c>
      <c r="U6" s="1"/>
      <c r="V6" s="12">
        <f>((U6*210/60)/(8))/31</f>
        <v>0</v>
      </c>
      <c r="W6" s="1"/>
      <c r="X6" s="12">
        <f>((W6*210/60)/(8))/31</f>
        <v>0</v>
      </c>
      <c r="Y6" s="1"/>
      <c r="Z6" s="12">
        <f>((Y6*210/60)/(8))/31</f>
        <v>0</v>
      </c>
      <c r="AA6" s="1"/>
      <c r="AB6" s="12">
        <f>((AA6*210/60)/(8))/31</f>
        <v>0</v>
      </c>
      <c r="AC6" s="1">
        <f t="shared" si="0"/>
        <v>3406</v>
      </c>
      <c r="AD6" s="12">
        <f t="shared" si="1"/>
        <v>7.0958333333333332</v>
      </c>
      <c r="AE6" s="27">
        <f t="shared" si="2"/>
        <v>5.6766666666666667</v>
      </c>
    </row>
    <row r="7" spans="1:31" ht="18" x14ac:dyDescent="0.25">
      <c r="A7" s="3" t="s">
        <v>4</v>
      </c>
      <c r="B7" s="3">
        <v>280</v>
      </c>
      <c r="C7" s="22">
        <v>7331</v>
      </c>
      <c r="D7" s="32">
        <f>((C7*$B$7/60)/(7))/365</f>
        <v>13.389954337899544</v>
      </c>
      <c r="E7" s="37">
        <v>848</v>
      </c>
      <c r="F7" s="19">
        <f>((E7*210/60)/(8))/31</f>
        <v>11.96774193548387</v>
      </c>
      <c r="G7" s="1">
        <v>605</v>
      </c>
      <c r="H7" s="12">
        <f>((G7*210/60)/(8))/30</f>
        <v>8.8229166666666661</v>
      </c>
      <c r="I7" s="1">
        <v>568</v>
      </c>
      <c r="J7" s="12">
        <f>((I7*210/60)/(8))/31</f>
        <v>8.0161290322580641</v>
      </c>
      <c r="K7" s="1">
        <v>566</v>
      </c>
      <c r="L7" s="12">
        <f>((K7*210/60)/(8))/31</f>
        <v>7.987903225806452</v>
      </c>
      <c r="M7" s="1">
        <v>659</v>
      </c>
      <c r="N7" s="12">
        <f>((M7*210/60)/(8))/28</f>
        <v>10.296875</v>
      </c>
      <c r="O7" s="1">
        <v>650</v>
      </c>
      <c r="P7" s="12">
        <f>((O7*210/60)/(8))/31</f>
        <v>9.1733870967741939</v>
      </c>
      <c r="Q7" s="1">
        <v>562</v>
      </c>
      <c r="R7" s="12">
        <f>((Q7*210/60)/(8))/31</f>
        <v>7.931451612903226</v>
      </c>
      <c r="S7" s="1">
        <v>330</v>
      </c>
      <c r="T7" s="12">
        <f>((S7*210/60)/(8))/31</f>
        <v>4.657258064516129</v>
      </c>
      <c r="U7" s="1"/>
      <c r="V7" s="12">
        <f>((U7*210/60)/(8))/31</f>
        <v>0</v>
      </c>
      <c r="W7" s="1"/>
      <c r="X7" s="12">
        <f>((W7*210/60)/(8))/31</f>
        <v>0</v>
      </c>
      <c r="Y7" s="1"/>
      <c r="Z7" s="12">
        <f>((Y7*210/60)/(8))/31</f>
        <v>0</v>
      </c>
      <c r="AA7" s="1"/>
      <c r="AB7" s="12">
        <f>((AA7*210/60)/(8))/31</f>
        <v>0</v>
      </c>
      <c r="AC7" s="1">
        <f t="shared" si="0"/>
        <v>4788</v>
      </c>
      <c r="AD7" s="12">
        <f t="shared" si="1"/>
        <v>9.9749999999999996</v>
      </c>
      <c r="AE7" s="27">
        <f t="shared" si="2"/>
        <v>7.98</v>
      </c>
    </row>
    <row r="8" spans="1:31" ht="18" x14ac:dyDescent="0.25">
      <c r="A8" s="5" t="s">
        <v>25</v>
      </c>
      <c r="B8" s="5">
        <v>720</v>
      </c>
      <c r="C8" s="21">
        <v>1502</v>
      </c>
      <c r="D8" s="33">
        <f>((C8*740/60)/(7))/280</f>
        <v>9.4513605442176889</v>
      </c>
      <c r="E8" s="37">
        <v>167</v>
      </c>
      <c r="F8" s="14">
        <f>((E8*720/60)/(7))/31</f>
        <v>9.2350230414746548</v>
      </c>
      <c r="G8" s="1">
        <v>285</v>
      </c>
      <c r="H8" s="14">
        <f>((G8*720/60)/(7))/30</f>
        <v>16.285714285714285</v>
      </c>
      <c r="I8" s="1">
        <v>135</v>
      </c>
      <c r="J8" s="14">
        <f>((I8*720/60)/(7))/31</f>
        <v>7.4654377880184324</v>
      </c>
      <c r="K8" s="1">
        <v>117</v>
      </c>
      <c r="L8" s="14">
        <f>((K8*720/60)/(7))/31</f>
        <v>6.4700460829493087</v>
      </c>
      <c r="M8" s="1">
        <v>342</v>
      </c>
      <c r="N8" s="14">
        <f>((M8*720/60)/(7))/28</f>
        <v>20.938775510204085</v>
      </c>
      <c r="O8" s="1">
        <v>87</v>
      </c>
      <c r="P8" s="14">
        <f>((O8*720/60)/(7))/365</f>
        <v>0.40861056751467711</v>
      </c>
      <c r="Q8" s="1">
        <v>26</v>
      </c>
      <c r="R8" s="14">
        <f>((Q8*720/60)/(7))/365</f>
        <v>0.12211350293542074</v>
      </c>
      <c r="S8" s="1">
        <v>99</v>
      </c>
      <c r="T8" s="14">
        <f>((S8*720/60)/(7))/365</f>
        <v>0.46497064579256364</v>
      </c>
      <c r="U8" s="1"/>
      <c r="V8" s="14">
        <f>((U8*720/60)/(7))/365</f>
        <v>0</v>
      </c>
      <c r="W8" s="1"/>
      <c r="X8" s="14">
        <f>((W8*720/60)/(7))/365</f>
        <v>0</v>
      </c>
      <c r="Y8" s="1"/>
      <c r="Z8" s="14">
        <f>((Y8*720/60)/(7))/365</f>
        <v>0</v>
      </c>
      <c r="AA8" s="1"/>
      <c r="AB8" s="14">
        <f>((AA8*720/60)/(7))/365</f>
        <v>0</v>
      </c>
      <c r="AC8" s="1">
        <f t="shared" si="0"/>
        <v>1258</v>
      </c>
      <c r="AD8" s="14">
        <f>((AC8*720/60)/(7))/(7*30)</f>
        <v>10.26938775510204</v>
      </c>
      <c r="AE8" s="27">
        <f t="shared" si="2"/>
        <v>8.2155102040816317</v>
      </c>
    </row>
    <row r="9" spans="1:31" ht="18" x14ac:dyDescent="0.25">
      <c r="A9" s="15"/>
      <c r="B9" s="16"/>
      <c r="C9" s="23"/>
      <c r="D9" s="34">
        <f>SUM(D4:D8)</f>
        <v>79.820766936911753</v>
      </c>
      <c r="E9" s="23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7"/>
      <c r="AE9" s="28"/>
    </row>
    <row r="10" spans="1:31" ht="18" x14ac:dyDescent="0.25">
      <c r="A10" s="5" t="s">
        <v>26</v>
      </c>
      <c r="B10" s="5">
        <v>420</v>
      </c>
      <c r="C10" s="21">
        <f>764+181</f>
        <v>945</v>
      </c>
      <c r="D10" s="7">
        <f>((C10*B10)/(7*60))/280</f>
        <v>3.375</v>
      </c>
      <c r="E10" s="37">
        <f>77+18</f>
        <v>95</v>
      </c>
      <c r="F10" s="6">
        <f>(((E10*420)/60)/8)/31</f>
        <v>2.681451612903226</v>
      </c>
      <c r="G10" s="1">
        <f>67+18</f>
        <v>85</v>
      </c>
      <c r="H10" s="6">
        <f>(((G10*420)/60)/8)/31</f>
        <v>2.399193548387097</v>
      </c>
      <c r="I10" s="1">
        <f>59+6</f>
        <v>65</v>
      </c>
      <c r="J10" s="6">
        <f>(((I10*420)/60)/8)/31</f>
        <v>1.8346774193548387</v>
      </c>
      <c r="K10" s="1">
        <f>58+15</f>
        <v>73</v>
      </c>
      <c r="L10" s="6">
        <f>(((K10*420)/60)/8)/31</f>
        <v>2.060483870967742</v>
      </c>
      <c r="M10" s="1">
        <f>52+10</f>
        <v>62</v>
      </c>
      <c r="N10" s="6">
        <f>(((M10*420)/60)/8)/31</f>
        <v>1.75</v>
      </c>
      <c r="O10" s="1">
        <f>53+12</f>
        <v>65</v>
      </c>
      <c r="P10" s="6">
        <f>(((O10*420)/60)/8)/31</f>
        <v>1.8346774193548387</v>
      </c>
      <c r="Q10" s="1">
        <f>57+9</f>
        <v>66</v>
      </c>
      <c r="R10" s="6">
        <f>(((Q10*420)/60)/8)/31</f>
        <v>1.8629032258064515</v>
      </c>
      <c r="S10" s="1">
        <f>61+8</f>
        <v>69</v>
      </c>
      <c r="T10" s="6">
        <f>(((S10*420)/60)/8)/31</f>
        <v>1.9475806451612903</v>
      </c>
      <c r="U10" s="1"/>
      <c r="V10" s="6">
        <f>(((U10*420)/60)/8)/31</f>
        <v>0</v>
      </c>
      <c r="W10" s="1"/>
      <c r="X10" s="6">
        <f>(((W10*420)/60)/8)/31</f>
        <v>0</v>
      </c>
      <c r="Y10" s="1"/>
      <c r="Z10" s="6">
        <f>(((Y10*420)/60)/8)/31</f>
        <v>0</v>
      </c>
      <c r="AA10" s="1"/>
      <c r="AB10" s="6">
        <f>(((AA10*420)/60)/8)/31</f>
        <v>0</v>
      </c>
      <c r="AC10" s="1">
        <f t="shared" si="0"/>
        <v>580</v>
      </c>
      <c r="AD10" s="6">
        <f>(((AC10*420)/60)/8)/(6*31)</f>
        <v>2.728494623655914</v>
      </c>
      <c r="AE10" s="27">
        <f t="shared" si="2"/>
        <v>2.1827956989247315</v>
      </c>
    </row>
    <row r="11" spans="1:31" ht="18" x14ac:dyDescent="0.25">
      <c r="A11" s="5" t="s">
        <v>27</v>
      </c>
      <c r="B11" s="5">
        <v>36</v>
      </c>
      <c r="C11" s="21">
        <v>44484</v>
      </c>
      <c r="D11" s="33">
        <f>((C11*B11/(50*7))/280)</f>
        <v>16.341061224489795</v>
      </c>
      <c r="E11" s="37">
        <v>4080</v>
      </c>
      <c r="F11" s="14">
        <f>((E11*30/60)/8)/31</f>
        <v>8.2258064516129039</v>
      </c>
      <c r="G11" s="1">
        <v>3931</v>
      </c>
      <c r="H11" s="14">
        <f>((G11*30/60)/8)/31</f>
        <v>7.925403225806452</v>
      </c>
      <c r="I11" s="1">
        <v>3872</v>
      </c>
      <c r="J11" s="14">
        <f>((I11*30/60)/8)/31</f>
        <v>7.806451612903226</v>
      </c>
      <c r="K11" s="1">
        <v>3874</v>
      </c>
      <c r="L11" s="14">
        <f>((K11*30/60)/8)/31</f>
        <v>7.810483870967742</v>
      </c>
      <c r="M11" s="1">
        <v>3565</v>
      </c>
      <c r="N11" s="14">
        <f>((M11*30/60)/8)/31</f>
        <v>7.1875</v>
      </c>
      <c r="O11" s="1">
        <v>3771</v>
      </c>
      <c r="P11" s="14">
        <f>((O11*30/60)/8)/31</f>
        <v>7.602822580645161</v>
      </c>
      <c r="Q11" s="1">
        <v>3574</v>
      </c>
      <c r="R11" s="14">
        <f>((Q11*30/60)/8)/31</f>
        <v>7.205645161290323</v>
      </c>
      <c r="S11" s="1">
        <v>3446</v>
      </c>
      <c r="T11" s="14">
        <f>((S11*30/60)/8)/31</f>
        <v>6.94758064516129</v>
      </c>
      <c r="U11" s="1"/>
      <c r="V11" s="14">
        <f>((U11*30/60)/8)/31</f>
        <v>0</v>
      </c>
      <c r="W11" s="1"/>
      <c r="X11" s="14">
        <f>((W11*30/60)/8)/31</f>
        <v>0</v>
      </c>
      <c r="Y11" s="1"/>
      <c r="Z11" s="14">
        <f>((Y11*30/60)/8)/31</f>
        <v>0</v>
      </c>
      <c r="AA11" s="1"/>
      <c r="AB11" s="14">
        <f>((AA11*30/60)/8)/31</f>
        <v>0</v>
      </c>
      <c r="AC11" s="1">
        <f t="shared" si="0"/>
        <v>30113</v>
      </c>
      <c r="AD11" s="33">
        <f>((AC11*B11/(50*7))/280)</f>
        <v>11.061918367346939</v>
      </c>
      <c r="AE11" s="27">
        <f t="shared" si="2"/>
        <v>8.8495346938775512</v>
      </c>
    </row>
    <row r="12" spans="1:31" ht="18" x14ac:dyDescent="0.25">
      <c r="A12" s="13" t="s">
        <v>31</v>
      </c>
      <c r="B12" s="13">
        <v>13</v>
      </c>
      <c r="C12" s="24">
        <f>214257-44484</f>
        <v>169773</v>
      </c>
      <c r="D12" s="8">
        <f>((C12*B12/60)/8)/365</f>
        <v>12.597311643835617</v>
      </c>
      <c r="E12" s="37">
        <f>20605-4080</f>
        <v>16525</v>
      </c>
      <c r="F12" s="2">
        <f>((E12*12/60)/8)/31</f>
        <v>13.326612903225806</v>
      </c>
      <c r="G12" s="1">
        <f>20340-3931</f>
        <v>16409</v>
      </c>
      <c r="H12" s="2">
        <f>((G12*12/60)/8)/31</f>
        <v>13.233064516129033</v>
      </c>
      <c r="I12" s="1">
        <f>19043-3872</f>
        <v>15171</v>
      </c>
      <c r="J12" s="2">
        <f>((I12*12/60)/8)/31</f>
        <v>12.234677419354838</v>
      </c>
      <c r="K12" s="1">
        <f>19259-3874</f>
        <v>15385</v>
      </c>
      <c r="L12" s="2">
        <f>((K12*12/60)/8)/31</f>
        <v>12.40725806451613</v>
      </c>
      <c r="M12" s="1">
        <f>18684-3565</f>
        <v>15119</v>
      </c>
      <c r="N12" s="2">
        <f>((M12*12/60)/8)/31</f>
        <v>12.192741935483872</v>
      </c>
      <c r="O12" s="1">
        <f>20866-3771</f>
        <v>17095</v>
      </c>
      <c r="P12" s="2">
        <f>((O12*12/60)/8)/31</f>
        <v>13.786290322580646</v>
      </c>
      <c r="Q12" s="1">
        <f>17418-3574</f>
        <v>13844</v>
      </c>
      <c r="R12" s="2">
        <f>((Q12*12/60)/8)/31</f>
        <v>11.164516129032259</v>
      </c>
      <c r="S12" s="1">
        <f>18521-3446</f>
        <v>15075</v>
      </c>
      <c r="T12" s="2">
        <f>((S12*12/60)/8)/31</f>
        <v>12.15725806451613</v>
      </c>
      <c r="U12" s="1"/>
      <c r="V12" s="2">
        <f>((U12*12/60)/8)/31</f>
        <v>0</v>
      </c>
      <c r="W12" s="1"/>
      <c r="X12" s="2">
        <f>((W12*12/60)/8)/31</f>
        <v>0</v>
      </c>
      <c r="Y12" s="1"/>
      <c r="Z12" s="2">
        <f>((Y12*12/60)/8)/31</f>
        <v>0</v>
      </c>
      <c r="AA12" s="1"/>
      <c r="AB12" s="2">
        <f>((AA12*12/60)/8)/31</f>
        <v>0</v>
      </c>
      <c r="AC12" s="1">
        <f t="shared" si="0"/>
        <v>124623</v>
      </c>
      <c r="AD12" s="8">
        <f>((AC12*B12/60)/8)/365</f>
        <v>9.2471404109589042</v>
      </c>
      <c r="AE12" s="27">
        <f t="shared" si="2"/>
        <v>7.397712328767124</v>
      </c>
    </row>
    <row r="13" spans="1:31" ht="18" x14ac:dyDescent="0.25">
      <c r="A13" s="5" t="s">
        <v>28</v>
      </c>
      <c r="B13" s="5">
        <v>230</v>
      </c>
      <c r="C13" s="21">
        <v>1444</v>
      </c>
      <c r="D13" s="8">
        <f>((C13*B13)/(60))/280</f>
        <v>19.769047619047619</v>
      </c>
      <c r="E13" s="37">
        <v>183</v>
      </c>
      <c r="F13" s="14">
        <f>((E13*220/60)/(31*8))*2</f>
        <v>5.411290322580645</v>
      </c>
      <c r="G13" s="1">
        <v>224</v>
      </c>
      <c r="H13" s="14">
        <f>((G13*220/60)/(31*8))*2</f>
        <v>6.623655913978495</v>
      </c>
      <c r="I13" s="1">
        <v>153</v>
      </c>
      <c r="J13" s="14">
        <f>(I13*220/60)/(31*8)</f>
        <v>2.2620967741935485</v>
      </c>
      <c r="K13" s="1">
        <v>198</v>
      </c>
      <c r="L13" s="14">
        <f>(K13*220/60)/(31*8)</f>
        <v>2.9274193548387095</v>
      </c>
      <c r="M13" s="1">
        <v>189</v>
      </c>
      <c r="N13" s="14">
        <f>(M13*220/60)/(31*8)</f>
        <v>2.7943548387096775</v>
      </c>
      <c r="O13" s="1">
        <v>177</v>
      </c>
      <c r="P13" s="14">
        <f>(O13*220/60)/(31*8)</f>
        <v>2.6169354838709675</v>
      </c>
      <c r="Q13" s="1">
        <v>162</v>
      </c>
      <c r="R13" s="14">
        <f>(Q13*220/60)/(31*8)</f>
        <v>2.3951612903225805</v>
      </c>
      <c r="S13" s="1">
        <v>145</v>
      </c>
      <c r="T13" s="14">
        <f>(S13*220/60)/(31*8)</f>
        <v>2.143817204301075</v>
      </c>
      <c r="U13" s="1"/>
      <c r="V13" s="14">
        <f>(U13*220/60)/(31*8)</f>
        <v>0</v>
      </c>
      <c r="W13" s="1"/>
      <c r="X13" s="14">
        <f>(W13*220/60)/(31*8)</f>
        <v>0</v>
      </c>
      <c r="Y13" s="1"/>
      <c r="Z13" s="14">
        <f>(Y13*220/60)/(31*8)</f>
        <v>0</v>
      </c>
      <c r="AA13" s="1"/>
      <c r="AB13" s="14">
        <f>(AA13*220/60)/(31*8)</f>
        <v>0</v>
      </c>
      <c r="AC13" s="1">
        <f t="shared" si="0"/>
        <v>1431</v>
      </c>
      <c r="AD13" s="6">
        <f>(((AC13*420)/60)/8)/(6*31)</f>
        <v>6.731854838709677</v>
      </c>
      <c r="AE13" s="27">
        <f t="shared" si="2"/>
        <v>5.3854838709677422</v>
      </c>
    </row>
    <row r="14" spans="1:31" ht="18" x14ac:dyDescent="0.25">
      <c r="A14" s="5" t="s">
        <v>32</v>
      </c>
      <c r="B14" s="5"/>
      <c r="C14" s="21"/>
      <c r="D14" s="8"/>
      <c r="E14" s="37">
        <v>72</v>
      </c>
      <c r="F14" s="6">
        <f>(E14*B14/60)/31</f>
        <v>0</v>
      </c>
      <c r="G14" s="1">
        <v>120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>
        <f t="shared" si="0"/>
        <v>192</v>
      </c>
      <c r="AD14" s="1"/>
      <c r="AE14" s="27">
        <f t="shared" si="2"/>
        <v>0</v>
      </c>
    </row>
    <row r="15" spans="1:31" x14ac:dyDescent="0.2">
      <c r="D15" s="35">
        <f>SUM(D10:D14)</f>
        <v>52.082420487373035</v>
      </c>
    </row>
    <row r="16" spans="1:31" x14ac:dyDescent="0.2">
      <c r="D16" s="35">
        <f>D9+D15</f>
        <v>131.90318742428479</v>
      </c>
    </row>
  </sheetData>
  <mergeCells count="16">
    <mergeCell ref="I2:J2"/>
    <mergeCell ref="K2:L2"/>
    <mergeCell ref="M2:N2"/>
    <mergeCell ref="AA2:AB2"/>
    <mergeCell ref="AC2:AD2"/>
    <mergeCell ref="O2:P2"/>
    <mergeCell ref="Q2:R2"/>
    <mergeCell ref="S2:T2"/>
    <mergeCell ref="U2:V2"/>
    <mergeCell ref="W2:X2"/>
    <mergeCell ref="Y2:Z2"/>
    <mergeCell ref="A2:A3"/>
    <mergeCell ref="B2:B3"/>
    <mergeCell ref="C2:D2"/>
    <mergeCell ref="E2:F2"/>
    <mergeCell ref="G2:H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9" sqref="J9"/>
    </sheetView>
  </sheetViews>
  <sheetFormatPr defaultRowHeight="29.25" x14ac:dyDescent="0.6"/>
  <cols>
    <col min="1" max="1" width="8.125" style="66" bestFit="1" customWidth="1"/>
    <col min="2" max="2" width="18.875" style="68" customWidth="1"/>
    <col min="3" max="3" width="20.625" style="66" customWidth="1"/>
    <col min="4" max="4" width="17.375" style="66" customWidth="1"/>
    <col min="5" max="5" width="21.75" style="68" customWidth="1"/>
    <col min="6" max="6" width="18.625" style="66" customWidth="1"/>
    <col min="7" max="7" width="13" style="66" customWidth="1"/>
    <col min="8" max="8" width="12.5" style="66" bestFit="1" customWidth="1"/>
    <col min="9" max="9" width="9.5" style="66" customWidth="1"/>
    <col min="10" max="10" width="9" style="68"/>
    <col min="11" max="16384" width="9" style="66"/>
  </cols>
  <sheetData>
    <row r="1" spans="1:11" x14ac:dyDescent="0.6">
      <c r="A1" s="80" t="s">
        <v>0</v>
      </c>
      <c r="B1" s="79" t="s">
        <v>35</v>
      </c>
      <c r="C1" s="79"/>
      <c r="D1" s="80" t="s">
        <v>36</v>
      </c>
      <c r="E1" s="61" t="s">
        <v>37</v>
      </c>
      <c r="F1" s="61" t="s">
        <v>37</v>
      </c>
      <c r="G1" s="62" t="s">
        <v>46</v>
      </c>
      <c r="H1" s="63"/>
      <c r="I1" s="64"/>
      <c r="J1" s="65"/>
      <c r="K1" s="64"/>
    </row>
    <row r="2" spans="1:11" ht="53.25" customHeight="1" x14ac:dyDescent="0.6">
      <c r="A2" s="81"/>
      <c r="B2" s="50" t="s">
        <v>45</v>
      </c>
      <c r="C2" s="50" t="s">
        <v>38</v>
      </c>
      <c r="D2" s="81"/>
      <c r="E2" s="51" t="s">
        <v>40</v>
      </c>
      <c r="F2" s="51" t="s">
        <v>39</v>
      </c>
      <c r="G2" s="57" t="s">
        <v>47</v>
      </c>
      <c r="H2" s="64"/>
      <c r="I2" s="64"/>
      <c r="J2" s="65"/>
      <c r="K2" s="64"/>
    </row>
    <row r="3" spans="1:11" x14ac:dyDescent="0.6">
      <c r="A3" s="52" t="s">
        <v>1</v>
      </c>
      <c r="B3" s="53">
        <f>D3*[1]รวม6เดือน!$E$3</f>
        <v>20.987956935246864</v>
      </c>
      <c r="C3" s="54">
        <f>ภาพรวม!AE4</f>
        <v>14.336666666666668</v>
      </c>
      <c r="D3" s="55">
        <v>14</v>
      </c>
      <c r="E3" s="72">
        <f>D3-B3</f>
        <v>-6.9879569352468636</v>
      </c>
      <c r="F3" s="73">
        <f>D3-C3</f>
        <v>-0.33666666666666778</v>
      </c>
      <c r="G3" s="61" t="s">
        <v>7</v>
      </c>
      <c r="H3" s="67"/>
      <c r="I3" s="64"/>
      <c r="J3" s="65"/>
      <c r="K3" s="67"/>
    </row>
    <row r="4" spans="1:11" x14ac:dyDescent="0.6">
      <c r="A4" s="52" t="s">
        <v>2</v>
      </c>
      <c r="B4" s="53">
        <f>D4*[1]รวม6เดือน!$E$4</f>
        <v>20.415299698003405</v>
      </c>
      <c r="C4" s="54">
        <f>ภาพรวม!AE5</f>
        <v>15.421666666666667</v>
      </c>
      <c r="D4" s="55">
        <v>13</v>
      </c>
      <c r="E4" s="72">
        <f t="shared" ref="E4:E11" si="0">D4-B4</f>
        <v>-7.4152996980034054</v>
      </c>
      <c r="F4" s="73">
        <f t="shared" ref="F4:F11" si="1">D4-C4</f>
        <v>-2.4216666666666669</v>
      </c>
      <c r="G4" s="61" t="s">
        <v>7</v>
      </c>
      <c r="H4" s="67"/>
      <c r="I4" s="64"/>
      <c r="J4" s="65"/>
      <c r="K4" s="67"/>
    </row>
    <row r="5" spans="1:11" x14ac:dyDescent="0.6">
      <c r="A5" s="52" t="s">
        <v>3</v>
      </c>
      <c r="B5" s="56">
        <f>D5*[1]รวม6เดือน!$E$5</f>
        <v>6.173106876947438</v>
      </c>
      <c r="C5" s="54">
        <f>ภาพรวม!AE6</f>
        <v>5.6766666666666667</v>
      </c>
      <c r="D5" s="55">
        <v>6</v>
      </c>
      <c r="E5" s="72">
        <f t="shared" si="0"/>
        <v>-0.17310687694743798</v>
      </c>
      <c r="F5" s="71">
        <f t="shared" si="1"/>
        <v>0.32333333333333325</v>
      </c>
      <c r="G5" s="61" t="s">
        <v>8</v>
      </c>
      <c r="H5" s="67"/>
      <c r="I5" s="64"/>
      <c r="J5" s="65"/>
      <c r="K5" s="67"/>
    </row>
    <row r="6" spans="1:11" x14ac:dyDescent="0.6">
      <c r="A6" s="52" t="s">
        <v>4</v>
      </c>
      <c r="B6" s="53">
        <f>D6*[1]รวม6เดือน!$E$6</f>
        <v>9.5672853234695729</v>
      </c>
      <c r="C6" s="54">
        <f>ภาพรวม!AE7</f>
        <v>7.98</v>
      </c>
      <c r="D6" s="55">
        <v>8</v>
      </c>
      <c r="E6" s="72">
        <f t="shared" si="0"/>
        <v>-1.5672853234695729</v>
      </c>
      <c r="F6" s="71">
        <f t="shared" si="1"/>
        <v>1.9999999999999574E-2</v>
      </c>
      <c r="G6" s="61" t="s">
        <v>8</v>
      </c>
      <c r="H6" s="67"/>
      <c r="I6" s="64"/>
      <c r="J6" s="65"/>
      <c r="K6" s="67"/>
    </row>
    <row r="7" spans="1:11" x14ac:dyDescent="0.6">
      <c r="A7" s="52" t="s">
        <v>25</v>
      </c>
      <c r="B7" s="53">
        <f>D7*[1]รวม6เดือน!$E$7</f>
        <v>11.858417813270055</v>
      </c>
      <c r="C7" s="54">
        <f>ภาพรวม!AE8</f>
        <v>8.2155102040816317</v>
      </c>
      <c r="D7" s="55">
        <v>10</v>
      </c>
      <c r="E7" s="72">
        <f t="shared" si="0"/>
        <v>-1.8584178132700551</v>
      </c>
      <c r="F7" s="71">
        <f t="shared" si="1"/>
        <v>1.7844897959183683</v>
      </c>
      <c r="G7" s="61" t="s">
        <v>8</v>
      </c>
      <c r="H7" s="67"/>
      <c r="I7" s="64"/>
      <c r="J7" s="65"/>
      <c r="K7" s="67"/>
    </row>
    <row r="8" spans="1:11" x14ac:dyDescent="0.6">
      <c r="A8" s="57" t="s">
        <v>26</v>
      </c>
      <c r="B8" s="58">
        <f>D8*[1]รวม6เดือน!$E$10</f>
        <v>4.2281578248315137</v>
      </c>
      <c r="C8" s="54">
        <f>ภาพรวม!AE10</f>
        <v>2.1827956989247315</v>
      </c>
      <c r="D8" s="55">
        <v>8</v>
      </c>
      <c r="E8" s="59">
        <f t="shared" si="0"/>
        <v>3.7718421751684863</v>
      </c>
      <c r="F8" s="71">
        <f t="shared" si="1"/>
        <v>5.8172043010752681</v>
      </c>
      <c r="G8" s="61" t="s">
        <v>8</v>
      </c>
      <c r="H8" s="67"/>
      <c r="I8" s="64"/>
      <c r="J8" s="65"/>
      <c r="K8" s="67"/>
    </row>
    <row r="9" spans="1:11" x14ac:dyDescent="0.6">
      <c r="A9" s="57" t="s">
        <v>27</v>
      </c>
      <c r="B9" s="58">
        <f>D9*[1]รวม6เดือน!$E$9</f>
        <v>13.670506413450152</v>
      </c>
      <c r="C9" s="54">
        <f>ภาพรวม!AE11</f>
        <v>8.8495346938775512</v>
      </c>
      <c r="D9" s="55">
        <v>12</v>
      </c>
      <c r="E9" s="72">
        <f t="shared" si="0"/>
        <v>-1.6705064134501519</v>
      </c>
      <c r="F9" s="71">
        <f t="shared" si="1"/>
        <v>3.1504653061224488</v>
      </c>
      <c r="G9" s="61" t="s">
        <v>8</v>
      </c>
      <c r="H9" s="67"/>
      <c r="I9" s="64"/>
      <c r="J9" s="65"/>
      <c r="K9" s="67"/>
    </row>
    <row r="10" spans="1:11" x14ac:dyDescent="0.6">
      <c r="A10" s="57" t="s">
        <v>31</v>
      </c>
      <c r="B10" s="58">
        <f>D10*[1]รวม6เดือน!$E$8</f>
        <v>8.2334228548458164</v>
      </c>
      <c r="C10" s="54">
        <f>ภาพรวม!AE12</f>
        <v>7.397712328767124</v>
      </c>
      <c r="D10" s="55">
        <v>11</v>
      </c>
      <c r="E10" s="59">
        <f t="shared" si="0"/>
        <v>2.7665771451541836</v>
      </c>
      <c r="F10" s="71">
        <f t="shared" si="1"/>
        <v>3.602287671232876</v>
      </c>
      <c r="G10" s="61" t="s">
        <v>8</v>
      </c>
      <c r="H10" s="67"/>
      <c r="I10" s="64"/>
      <c r="J10" s="65"/>
      <c r="K10" s="67"/>
    </row>
    <row r="11" spans="1:11" x14ac:dyDescent="0.6">
      <c r="A11" s="57" t="s">
        <v>28</v>
      </c>
      <c r="B11" s="60">
        <f>D11*[1]รวม6เดือน!$E$11</f>
        <v>3.3855485868011086</v>
      </c>
      <c r="C11" s="54">
        <f>ภาพรวม!AE13</f>
        <v>5.3854838709677422</v>
      </c>
      <c r="D11" s="55">
        <v>9</v>
      </c>
      <c r="E11" s="59">
        <f t="shared" si="0"/>
        <v>5.614451413198891</v>
      </c>
      <c r="F11" s="71">
        <f t="shared" si="1"/>
        <v>3.6145161290322578</v>
      </c>
      <c r="G11" s="61" t="s">
        <v>8</v>
      </c>
      <c r="K11" s="69"/>
    </row>
    <row r="12" spans="1:11" x14ac:dyDescent="0.6">
      <c r="A12" s="70"/>
      <c r="B12" s="69">
        <f>SUM(B3:B11)</f>
        <v>98.519702326865911</v>
      </c>
      <c r="C12" s="69">
        <f>SUM(C3:C11)</f>
        <v>75.446036796618785</v>
      </c>
      <c r="D12" s="69">
        <f t="shared" ref="D12:F12" si="2">SUM(D3:D11)</f>
        <v>91</v>
      </c>
      <c r="E12" s="69">
        <f t="shared" si="2"/>
        <v>-7.5197023268659233</v>
      </c>
      <c r="F12" s="69">
        <f t="shared" si="2"/>
        <v>15.553963203381215</v>
      </c>
      <c r="K12" s="69"/>
    </row>
  </sheetData>
  <mergeCells count="3">
    <mergeCell ref="B1:C1"/>
    <mergeCell ref="D1:D2"/>
    <mergeCell ref="A1:A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F18" sqref="F18"/>
    </sheetView>
  </sheetViews>
  <sheetFormatPr defaultRowHeight="14.25" x14ac:dyDescent="0.2"/>
  <cols>
    <col min="1" max="1" width="10.25" style="39" customWidth="1"/>
    <col min="2" max="2" width="12.5" style="40" customWidth="1"/>
    <col min="3" max="3" width="14.375" style="39" customWidth="1"/>
    <col min="4" max="4" width="12.75" style="39" customWidth="1"/>
    <col min="5" max="5" width="10.875" style="39" customWidth="1"/>
    <col min="6" max="6" width="14.5" style="39" customWidth="1"/>
    <col min="7" max="7" width="17.5" style="39" customWidth="1"/>
    <col min="8" max="8" width="14.375" style="39" customWidth="1"/>
    <col min="9" max="16384" width="9" style="39"/>
  </cols>
  <sheetData>
    <row r="1" spans="1:8" ht="57" x14ac:dyDescent="0.2">
      <c r="A1" s="20" t="s">
        <v>0</v>
      </c>
      <c r="B1" s="20" t="s">
        <v>41</v>
      </c>
      <c r="C1" s="20" t="s">
        <v>42</v>
      </c>
      <c r="D1" s="20" t="s">
        <v>43</v>
      </c>
      <c r="E1" s="20" t="s">
        <v>44</v>
      </c>
      <c r="F1" s="20" t="s">
        <v>6</v>
      </c>
      <c r="G1" s="74" t="s">
        <v>49</v>
      </c>
      <c r="H1" s="41" t="s">
        <v>48</v>
      </c>
    </row>
    <row r="2" spans="1:8" ht="18" x14ac:dyDescent="0.2">
      <c r="A2" s="42" t="s">
        <v>1</v>
      </c>
      <c r="B2" s="43">
        <v>14</v>
      </c>
      <c r="C2" s="44">
        <v>64800</v>
      </c>
      <c r="D2" s="44">
        <f>C2/(600*20)</f>
        <v>5.4</v>
      </c>
      <c r="E2" s="44">
        <f>B2+D2</f>
        <v>19.399999999999999</v>
      </c>
      <c r="F2" s="45">
        <f>รวม!C3</f>
        <v>14.336666666666668</v>
      </c>
      <c r="G2" s="45">
        <f>F2-E2</f>
        <v>-5.0633333333333308</v>
      </c>
      <c r="H2" s="46">
        <f>B2-F2</f>
        <v>-0.33666666666666778</v>
      </c>
    </row>
    <row r="3" spans="1:8" ht="18" x14ac:dyDescent="0.2">
      <c r="A3" s="47" t="s">
        <v>2</v>
      </c>
      <c r="B3" s="48">
        <v>13</v>
      </c>
      <c r="C3" s="46">
        <v>65404</v>
      </c>
      <c r="D3" s="44">
        <f t="shared" ref="D3:D5" si="0">C3/(600*20)</f>
        <v>5.450333333333333</v>
      </c>
      <c r="E3" s="44">
        <f t="shared" ref="E3:E5" si="1">B3+D3</f>
        <v>18.450333333333333</v>
      </c>
      <c r="F3" s="45">
        <f>รวม!C4</f>
        <v>15.421666666666667</v>
      </c>
      <c r="G3" s="45">
        <f t="shared" ref="G3:G5" si="2">F3-E3</f>
        <v>-3.0286666666666662</v>
      </c>
      <c r="H3" s="46">
        <f t="shared" ref="H3:H6" si="3">B3-F3</f>
        <v>-2.4216666666666669</v>
      </c>
    </row>
    <row r="4" spans="1:8" ht="18" x14ac:dyDescent="0.2">
      <c r="A4" s="47" t="s">
        <v>3</v>
      </c>
      <c r="B4" s="48">
        <v>6</v>
      </c>
      <c r="C4" s="46">
        <v>35400</v>
      </c>
      <c r="D4" s="44">
        <f t="shared" si="0"/>
        <v>2.95</v>
      </c>
      <c r="E4" s="44">
        <f t="shared" si="1"/>
        <v>8.9499999999999993</v>
      </c>
      <c r="F4" s="45">
        <f>รวม!C5</f>
        <v>5.6766666666666667</v>
      </c>
      <c r="G4" s="45">
        <f t="shared" si="2"/>
        <v>-3.2733333333333325</v>
      </c>
      <c r="H4" s="46">
        <f t="shared" si="3"/>
        <v>0.32333333333333325</v>
      </c>
    </row>
    <row r="5" spans="1:8" ht="18" x14ac:dyDescent="0.2">
      <c r="A5" s="47" t="s">
        <v>4</v>
      </c>
      <c r="B5" s="48">
        <v>8</v>
      </c>
      <c r="C5" s="46">
        <v>49800</v>
      </c>
      <c r="D5" s="44">
        <f t="shared" si="0"/>
        <v>4.1500000000000004</v>
      </c>
      <c r="E5" s="44">
        <f t="shared" si="1"/>
        <v>12.15</v>
      </c>
      <c r="F5" s="45">
        <f>รวม!C6</f>
        <v>7.98</v>
      </c>
      <c r="G5" s="45">
        <f t="shared" si="2"/>
        <v>-4.17</v>
      </c>
      <c r="H5" s="46">
        <f t="shared" si="3"/>
        <v>1.9999999999999574E-2</v>
      </c>
    </row>
    <row r="6" spans="1:8" ht="18" x14ac:dyDescent="0.2">
      <c r="A6" s="42" t="s">
        <v>5</v>
      </c>
      <c r="B6" s="48">
        <f t="shared" ref="B6:G6" si="4">SUM(B2:B5)</f>
        <v>41</v>
      </c>
      <c r="C6" s="49">
        <f t="shared" si="4"/>
        <v>215404</v>
      </c>
      <c r="D6" s="49">
        <f t="shared" si="4"/>
        <v>17.950333333333333</v>
      </c>
      <c r="E6" s="49">
        <f t="shared" si="4"/>
        <v>58.950333333333326</v>
      </c>
      <c r="F6" s="45">
        <f t="shared" si="4"/>
        <v>43.415000000000006</v>
      </c>
      <c r="G6" s="45">
        <f t="shared" si="4"/>
        <v>-15.535333333333329</v>
      </c>
      <c r="H6" s="46">
        <f t="shared" si="3"/>
        <v>-2.4150000000000063</v>
      </c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เกณฑ์ FTE</vt:lpstr>
      <vt:lpstr>ภาพรวม</vt:lpstr>
      <vt:lpstr>รวม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MKC</cp:lastModifiedBy>
  <cp:lastPrinted>2016-06-16T09:26:14Z</cp:lastPrinted>
  <dcterms:created xsi:type="dcterms:W3CDTF">2015-03-23T08:39:23Z</dcterms:created>
  <dcterms:modified xsi:type="dcterms:W3CDTF">2017-03-08T14:57:21Z</dcterms:modified>
</cp:coreProperties>
</file>